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enpe\OneDrive - renpeng0168\Macbook-Pro-Syn\1_Development\5_Coding\7_SW-Project-AI\MSA_GRR_Sample_Selection_Tool\MSA_GRR_Sample_Selection_Tool - V3\static\examples\"/>
    </mc:Choice>
  </mc:AlternateContent>
  <xr:revisionPtr revIDLastSave="0" documentId="13_ncr:1_{A715ABA3-5BA3-4F5F-91DC-7ADF780E7340}" xr6:coauthVersionLast="47" xr6:coauthVersionMax="47" xr10:uidLastSave="{00000000-0000-0000-0000-000000000000}"/>
  <bookViews>
    <workbookView xWindow="-96" yWindow="-96" windowWidth="23232" windowHeight="12432" xr2:uid="{DA219A2A-8954-4B84-94DF-0E0F0A2E6C69}"/>
  </bookViews>
  <sheets>
    <sheet name="GRR Data Shee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5" i="1" l="1"/>
  <c r="L39" i="1"/>
  <c r="K39" i="1"/>
  <c r="J39" i="1"/>
  <c r="I39" i="1"/>
  <c r="H39" i="1"/>
  <c r="G39" i="1"/>
  <c r="F39" i="1"/>
  <c r="E39" i="1"/>
  <c r="D39" i="1"/>
  <c r="C39" i="1"/>
  <c r="L38" i="1"/>
  <c r="K38" i="1"/>
  <c r="J38" i="1"/>
  <c r="I38" i="1"/>
  <c r="H38" i="1"/>
  <c r="H41" i="1" s="1"/>
  <c r="G38" i="1"/>
  <c r="F38" i="1"/>
  <c r="E38" i="1"/>
  <c r="D38" i="1"/>
  <c r="C38" i="1"/>
  <c r="N37" i="1"/>
  <c r="A37" i="1"/>
  <c r="A38" i="1" s="1"/>
  <c r="A39" i="1" s="1"/>
  <c r="A42" i="1" s="1"/>
  <c r="A43" i="1" s="1"/>
  <c r="A44" i="1" s="1"/>
  <c r="A45" i="1" s="1"/>
  <c r="N36" i="1"/>
  <c r="N35" i="1"/>
  <c r="L34" i="1"/>
  <c r="K34" i="1"/>
  <c r="J34" i="1"/>
  <c r="I34" i="1"/>
  <c r="H34" i="1"/>
  <c r="G34" i="1"/>
  <c r="F34" i="1"/>
  <c r="E34" i="1"/>
  <c r="D34" i="1"/>
  <c r="C34" i="1"/>
  <c r="N34" i="1" s="1"/>
  <c r="L33" i="1"/>
  <c r="K33" i="1"/>
  <c r="J33" i="1"/>
  <c r="I33" i="1"/>
  <c r="H33" i="1"/>
  <c r="G33" i="1"/>
  <c r="F33" i="1"/>
  <c r="E33" i="1"/>
  <c r="D33" i="1"/>
  <c r="C33" i="1"/>
  <c r="N33" i="1" s="1"/>
  <c r="N32" i="1"/>
  <c r="A32" i="1"/>
  <c r="A33" i="1" s="1"/>
  <c r="A34" i="1" s="1"/>
  <c r="N31" i="1"/>
  <c r="N30" i="1"/>
  <c r="L29" i="1"/>
  <c r="K29" i="1"/>
  <c r="J29" i="1"/>
  <c r="I29" i="1"/>
  <c r="H29" i="1"/>
  <c r="G29" i="1"/>
  <c r="F29" i="1"/>
  <c r="E29" i="1"/>
  <c r="D29" i="1"/>
  <c r="C29" i="1"/>
  <c r="L28" i="1"/>
  <c r="L41" i="1" s="1"/>
  <c r="K28" i="1"/>
  <c r="J28" i="1"/>
  <c r="J41" i="1" s="1"/>
  <c r="I28" i="1"/>
  <c r="I41" i="1" s="1"/>
  <c r="H28" i="1"/>
  <c r="G28" i="1"/>
  <c r="G41" i="1" s="1"/>
  <c r="F28" i="1"/>
  <c r="F41" i="1" s="1"/>
  <c r="E28" i="1"/>
  <c r="E41" i="1" s="1"/>
  <c r="D28" i="1"/>
  <c r="D41" i="1" s="1"/>
  <c r="C28" i="1"/>
  <c r="C41" i="1" s="1"/>
  <c r="N27" i="1"/>
  <c r="A27" i="1"/>
  <c r="A28" i="1" s="1"/>
  <c r="A29" i="1" s="1"/>
  <c r="N26" i="1"/>
  <c r="N25" i="1"/>
  <c r="N38" i="1" l="1"/>
  <c r="K41" i="1"/>
  <c r="N40" i="1" s="1"/>
  <c r="N39" i="1"/>
  <c r="N41" i="1"/>
  <c r="N28" i="1"/>
  <c r="N43" i="1" s="1"/>
  <c r="N29" i="1"/>
  <c r="N42" i="1" l="1"/>
  <c r="Q27" i="1" s="1"/>
  <c r="N44" i="1"/>
  <c r="Q39" i="1"/>
  <c r="Q40" i="1"/>
  <c r="Q31" i="1" l="1"/>
  <c r="Q35" i="1" s="1"/>
  <c r="Q30" i="1"/>
  <c r="Q26" i="1"/>
  <c r="X41" i="1"/>
  <c r="H44" i="1"/>
  <c r="G44" i="1"/>
  <c r="I44" i="1"/>
  <c r="Q36" i="1" l="1"/>
  <c r="X44" i="1" s="1"/>
  <c r="E44" i="1"/>
  <c r="J44" i="1"/>
  <c r="Q44" i="1"/>
  <c r="Q43" i="1"/>
  <c r="X36" i="1"/>
  <c r="X27" i="1" l="1"/>
  <c r="X26" i="1"/>
  <c r="X42" i="1"/>
  <c r="X31" i="1"/>
  <c r="X30" i="1"/>
  <c r="X37" i="1"/>
  <c r="V38" i="1" l="1"/>
</calcChain>
</file>

<file path=xl/sharedStrings.xml><?xml version="1.0" encoding="utf-8"?>
<sst xmlns="http://schemas.openxmlformats.org/spreadsheetml/2006/main" count="117" uniqueCount="78">
  <si>
    <t>3.1 %GRR Study</t>
  </si>
  <si>
    <t>Recommended to be used if measurements are highly influenced by the operator</t>
  </si>
  <si>
    <t>Instructions :</t>
  </si>
  <si>
    <t>1. Select 3 operators (or 3 different systems)</t>
  </si>
  <si>
    <t>2. Select 10 production parts which can represent the operating variation of the process</t>
  </si>
  <si>
    <t>3. Each operator will repeat each trial 3x</t>
  </si>
  <si>
    <t>4. Only enter data in blue colored cells</t>
  </si>
  <si>
    <t>Area:</t>
  </si>
  <si>
    <t/>
  </si>
  <si>
    <t>Process:</t>
  </si>
  <si>
    <t>Test</t>
  </si>
  <si>
    <t>Gauge Name:</t>
  </si>
  <si>
    <t>Serial #:</t>
  </si>
  <si>
    <t>Parameter:</t>
  </si>
  <si>
    <t>units:</t>
  </si>
  <si>
    <t>Trials</t>
  </si>
  <si>
    <t>Parts</t>
  </si>
  <si>
    <t>Appraisers</t>
  </si>
  <si>
    <t>APPRAISER/</t>
  </si>
  <si>
    <t>PART</t>
  </si>
  <si>
    <t>AVERAGE</t>
  </si>
  <si>
    <t>Measurement Unit Analysis</t>
  </si>
  <si>
    <t>% Tolerance (Tol)</t>
  </si>
  <si>
    <t>TRIAL #</t>
  </si>
  <si>
    <t xml:space="preserve">  Repeatability - Equipment Variation (EV)</t>
  </si>
  <si>
    <t>1.  A</t>
  </si>
  <si>
    <t>EV</t>
  </si>
  <si>
    <t>=</t>
  </si>
  <si>
    <t>R  x  K1</t>
  </si>
  <si>
    <t>K1</t>
  </si>
  <si>
    <t>% EV</t>
  </si>
  <si>
    <t>100 (EV/TV)</t>
  </si>
  <si>
    <t>AVE</t>
  </si>
  <si>
    <t>xa=</t>
  </si>
  <si>
    <t xml:space="preserve">  Reproducibility - Appraiser Variation (AV)</t>
  </si>
  <si>
    <t>R</t>
  </si>
  <si>
    <t>ra=</t>
  </si>
  <si>
    <t>AV</t>
  </si>
  <si>
    <t>{(xDIFF x K2)2 - (EV2/nr)}1/2</t>
  </si>
  <si>
    <t>% AV</t>
  </si>
  <si>
    <t>100 (AV/TV)</t>
  </si>
  <si>
    <t>6.  B</t>
  </si>
  <si>
    <t>K2</t>
  </si>
  <si>
    <t xml:space="preserve">   n = number of parts</t>
  </si>
  <si>
    <t>xb=</t>
  </si>
  <si>
    <t xml:space="preserve">  Repeatability &amp; Reproducibility (R &amp; R)</t>
  </si>
  <si>
    <t xml:space="preserve">   r = number of trials</t>
  </si>
  <si>
    <t>rb=</t>
  </si>
  <si>
    <t>R &amp; R</t>
  </si>
  <si>
    <t>{(EV2 + AV2)}1/2</t>
  </si>
  <si>
    <t>K3</t>
  </si>
  <si>
    <t>11.  C</t>
  </si>
  <si>
    <t>% R&amp;R</t>
  </si>
  <si>
    <t>100 (R&amp;R/TV)</t>
  </si>
  <si>
    <t xml:space="preserve">  Part Variation (PV)</t>
  </si>
  <si>
    <t>xc=</t>
  </si>
  <si>
    <t>PV</t>
  </si>
  <si>
    <t>RP x K3</t>
  </si>
  <si>
    <t>rc=</t>
  </si>
  <si>
    <t xml:space="preserve">16. PART </t>
  </si>
  <si>
    <t>X=</t>
  </si>
  <si>
    <t>% PV</t>
  </si>
  <si>
    <t>100 (PV/TV)</t>
  </si>
  <si>
    <t xml:space="preserve">     AVE ( Xp )</t>
  </si>
  <si>
    <t>Rp=</t>
  </si>
  <si>
    <t xml:space="preserve">  Total Variation (TV)</t>
  </si>
  <si>
    <t>(ra + rb + rc) / (# OF APPRAISERS) =</t>
  </si>
  <si>
    <t>R=</t>
  </si>
  <si>
    <t>TV</t>
  </si>
  <si>
    <t>{(R&amp;R2 + PV2)}1/2</t>
  </si>
  <si>
    <t>(Max x - Min x) =</t>
  </si>
  <si>
    <t>xDIFF=</t>
  </si>
  <si>
    <t>ndc</t>
  </si>
  <si>
    <t>1.41(PV/GRR)</t>
  </si>
  <si>
    <t>R x D4* =</t>
  </si>
  <si>
    <t>UCLR=</t>
  </si>
  <si>
    <t>R x D3* =</t>
  </si>
  <si>
    <t>LCLR=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</si>
</sst>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\ mmmm\ yyyy"/>
    <numFmt numFmtId="165" formatCode="0.000"/>
    <numFmt numFmtId="166" formatCode="0."/>
    <numFmt numFmtId="167" formatCode="0.0000"/>
  </numFmts>
  <fonts count="19">
    <font>
      <sz val="11"/>
      <color theme="1"/>
      <name val="Aptos Narrow"/>
      <family val="2"/>
      <scheme val="minor"/>
    </font>
    <font>
      <b/>
      <sz val="16"/>
      <color indexed="8"/>
      <name val="Arial"/>
      <family val="2"/>
    </font>
    <font>
      <b/>
      <sz val="10"/>
      <name val="Arial"/>
      <family val="2"/>
    </font>
    <font>
      <b/>
      <u/>
      <sz val="24"/>
      <color indexed="8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i/>
      <sz val="12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u/>
      <sz val="9"/>
      <name val="Arial"/>
      <family val="2"/>
    </font>
    <font>
      <sz val="8"/>
      <name val="Arial"/>
      <family val="2"/>
    </font>
    <font>
      <b/>
      <sz val="10"/>
      <color rgb="FF0033CC"/>
      <name val="Aptos Display"/>
      <family val="2"/>
      <scheme val="major"/>
    </font>
    <font>
      <sz val="10"/>
      <color indexed="12"/>
      <name val="Arial"/>
      <family val="2"/>
    </font>
    <font>
      <sz val="10"/>
      <color indexed="10"/>
      <name val="Arial"/>
      <family val="2"/>
    </font>
    <font>
      <b/>
      <sz val="12"/>
      <name val="Arial"/>
      <family val="2"/>
    </font>
    <font>
      <sz val="12"/>
      <name val="Statistical Symbols"/>
      <family val="2"/>
    </font>
    <font>
      <b/>
      <sz val="6"/>
      <name val="Small Fonts"/>
      <family val="2"/>
    </font>
    <font>
      <i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3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3" fillId="0" borderId="0" xfId="0" applyFon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2" fontId="5" fillId="0" borderId="0" xfId="0" applyNumberFormat="1" applyFont="1" applyProtection="1">
      <protection locked="0"/>
    </xf>
    <xf numFmtId="2" fontId="6" fillId="0" borderId="0" xfId="0" applyNumberFormat="1" applyFont="1" applyProtection="1">
      <protection locked="0"/>
    </xf>
    <xf numFmtId="0" fontId="7" fillId="0" borderId="0" xfId="0" applyFont="1" applyProtection="1">
      <protection locked="0"/>
    </xf>
    <xf numFmtId="2" fontId="4" fillId="0" borderId="0" xfId="0" applyNumberFormat="1" applyFont="1" applyProtection="1">
      <protection locked="0"/>
    </xf>
    <xf numFmtId="0" fontId="4" fillId="0" borderId="0" xfId="0" applyFont="1"/>
    <xf numFmtId="2" fontId="4" fillId="0" borderId="0" xfId="0" applyNumberFormat="1" applyFont="1"/>
    <xf numFmtId="2" fontId="4" fillId="0" borderId="0" xfId="0" applyNumberFormat="1" applyFont="1" applyAlignment="1">
      <alignment horizontal="left"/>
    </xf>
    <xf numFmtId="2" fontId="4" fillId="0" borderId="0" xfId="0" applyNumberFormat="1" applyFont="1" applyAlignment="1">
      <alignment horizontal="center"/>
    </xf>
    <xf numFmtId="2" fontId="8" fillId="0" borderId="0" xfId="0" applyNumberFormat="1" applyFont="1" applyAlignment="1">
      <alignment horizontal="left"/>
    </xf>
    <xf numFmtId="2" fontId="8" fillId="0" borderId="0" xfId="0" applyNumberFormat="1" applyFont="1" applyAlignment="1">
      <alignment horizontal="center"/>
    </xf>
    <xf numFmtId="2" fontId="8" fillId="0" borderId="0" xfId="0" applyNumberFormat="1" applyFont="1" applyProtection="1">
      <protection locked="0"/>
    </xf>
    <xf numFmtId="2" fontId="8" fillId="0" borderId="0" xfId="0" applyNumberFormat="1" applyFont="1"/>
    <xf numFmtId="2" fontId="9" fillId="0" borderId="0" xfId="0" applyNumberFormat="1" applyFont="1" applyAlignment="1">
      <alignment horizontal="right"/>
    </xf>
    <xf numFmtId="0" fontId="10" fillId="0" borderId="0" xfId="0" applyFont="1" applyAlignment="1" applyProtection="1">
      <alignment horizontal="left"/>
      <protection hidden="1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right"/>
    </xf>
    <xf numFmtId="0" fontId="8" fillId="0" borderId="0" xfId="0" applyFont="1"/>
    <xf numFmtId="0" fontId="11" fillId="0" borderId="0" xfId="0" applyFont="1"/>
    <xf numFmtId="0" fontId="11" fillId="0" borderId="1" xfId="0" applyFont="1" applyBorder="1"/>
    <xf numFmtId="0" fontId="11" fillId="0" borderId="2" xfId="0" applyFont="1" applyBorder="1"/>
    <xf numFmtId="0" fontId="11" fillId="0" borderId="3" xfId="0" applyFont="1" applyBorder="1"/>
    <xf numFmtId="0" fontId="11" fillId="0" borderId="4" xfId="0" applyFont="1" applyBorder="1"/>
    <xf numFmtId="0" fontId="12" fillId="0" borderId="0" xfId="0" applyFont="1"/>
    <xf numFmtId="0" fontId="13" fillId="0" borderId="0" xfId="0" applyFont="1"/>
    <xf numFmtId="0" fontId="13" fillId="0" borderId="1" xfId="0" applyFont="1" applyBorder="1"/>
    <xf numFmtId="0" fontId="12" fillId="0" borderId="5" xfId="0" applyFont="1" applyBorder="1" applyAlignment="1" applyProtection="1">
      <alignment horizontal="centerContinuous"/>
      <protection hidden="1"/>
    </xf>
    <xf numFmtId="0" fontId="12" fillId="0" borderId="6" xfId="0" applyFont="1" applyBorder="1" applyAlignment="1">
      <alignment horizontal="centerContinuous"/>
    </xf>
    <xf numFmtId="0" fontId="12" fillId="0" borderId="0" xfId="0" applyFont="1" applyProtection="1">
      <protection locked="0"/>
    </xf>
    <xf numFmtId="0" fontId="12" fillId="0" borderId="0" xfId="0" applyFont="1" applyAlignment="1">
      <alignment horizontal="centerContinuous"/>
    </xf>
    <xf numFmtId="0" fontId="14" fillId="0" borderId="0" xfId="0" applyFont="1"/>
    <xf numFmtId="0" fontId="0" fillId="0" borderId="0" xfId="0" applyAlignment="1">
      <alignment horizontal="center"/>
    </xf>
    <xf numFmtId="0" fontId="2" fillId="0" borderId="7" xfId="0" applyFont="1" applyBorder="1" applyAlignment="1">
      <alignment horizontal="center" vertical="center"/>
    </xf>
    <xf numFmtId="0" fontId="0" fillId="0" borderId="3" xfId="0" applyBorder="1"/>
    <xf numFmtId="0" fontId="0" fillId="0" borderId="1" xfId="0" applyBorder="1"/>
    <xf numFmtId="0" fontId="0" fillId="0" borderId="4" xfId="0" applyBorder="1"/>
    <xf numFmtId="0" fontId="2" fillId="0" borderId="2" xfId="0" applyFont="1" applyBorder="1"/>
    <xf numFmtId="0" fontId="0" fillId="0" borderId="12" xfId="0" applyBorder="1"/>
    <xf numFmtId="0" fontId="0" fillId="0" borderId="2" xfId="0" applyBorder="1"/>
    <xf numFmtId="0" fontId="0" fillId="0" borderId="13" xfId="0" applyBorder="1" applyAlignment="1">
      <alignment vertical="center"/>
    </xf>
    <xf numFmtId="0" fontId="0" fillId="0" borderId="14" xfId="0" applyBorder="1" applyAlignment="1">
      <alignment horizontal="center" vertical="center"/>
    </xf>
    <xf numFmtId="0" fontId="0" fillId="0" borderId="16" xfId="0" applyBorder="1" applyAlignment="1">
      <alignment vertical="center"/>
    </xf>
    <xf numFmtId="165" fontId="0" fillId="0" borderId="17" xfId="0" applyNumberFormat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16" fillId="0" borderId="0" xfId="0" applyFont="1"/>
    <xf numFmtId="0" fontId="2" fillId="0" borderId="8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166" fontId="0" fillId="0" borderId="18" xfId="0" applyNumberFormat="1" applyBorder="1" applyAlignment="1">
      <alignment horizontal="left" vertical="center"/>
    </xf>
    <xf numFmtId="0" fontId="0" fillId="0" borderId="10" xfId="0" applyBorder="1" applyAlignment="1">
      <alignment horizontal="center" vertical="center"/>
    </xf>
    <xf numFmtId="0" fontId="0" fillId="0" borderId="19" xfId="0" applyBorder="1" applyAlignment="1">
      <alignment vertical="center"/>
    </xf>
    <xf numFmtId="165" fontId="0" fillId="0" borderId="20" xfId="0" applyNumberForma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" xfId="0" applyBorder="1" applyAlignment="1">
      <alignment horizontal="center"/>
    </xf>
    <xf numFmtId="166" fontId="0" fillId="0" borderId="21" xfId="0" applyNumberFormat="1" applyBorder="1" applyAlignment="1">
      <alignment horizontal="left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/>
    <xf numFmtId="0" fontId="0" fillId="0" borderId="19" xfId="0" applyBorder="1" applyAlignment="1">
      <alignment horizontal="center"/>
    </xf>
    <xf numFmtId="165" fontId="0" fillId="0" borderId="19" xfId="0" applyNumberFormat="1" applyBorder="1" applyAlignment="1">
      <alignment horizontal="left"/>
    </xf>
    <xf numFmtId="0" fontId="0" fillId="0" borderId="19" xfId="0" applyBorder="1"/>
    <xf numFmtId="0" fontId="0" fillId="0" borderId="22" xfId="0" applyBorder="1" applyAlignment="1">
      <alignment horizontal="center"/>
    </xf>
    <xf numFmtId="0" fontId="0" fillId="0" borderId="6" xfId="0" applyBorder="1" applyAlignment="1">
      <alignment horizontal="center"/>
    </xf>
    <xf numFmtId="2" fontId="0" fillId="0" borderId="19" xfId="0" applyNumberFormat="1" applyBorder="1" applyAlignment="1">
      <alignment horizontal="left"/>
    </xf>
    <xf numFmtId="0" fontId="0" fillId="0" borderId="6" xfId="0" applyBorder="1"/>
    <xf numFmtId="165" fontId="0" fillId="0" borderId="8" xfId="0" applyNumberForma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166" fontId="0" fillId="0" borderId="23" xfId="0" applyNumberFormat="1" applyBorder="1" applyAlignment="1">
      <alignment horizontal="left" vertical="center"/>
    </xf>
    <xf numFmtId="0" fontId="0" fillId="0" borderId="24" xfId="0" applyBorder="1" applyAlignment="1">
      <alignment horizontal="center" vertical="center"/>
    </xf>
    <xf numFmtId="167" fontId="0" fillId="0" borderId="25" xfId="0" applyNumberFormat="1" applyBorder="1" applyAlignment="1">
      <alignment horizontal="center" vertical="center"/>
    </xf>
    <xf numFmtId="0" fontId="16" fillId="0" borderId="26" xfId="0" applyFont="1" applyBorder="1" applyAlignment="1">
      <alignment horizontal="center" vertical="center"/>
    </xf>
    <xf numFmtId="165" fontId="0" fillId="0" borderId="27" xfId="0" applyNumberFormat="1" applyBorder="1" applyAlignment="1">
      <alignment horizontal="center" vertical="center"/>
    </xf>
    <xf numFmtId="165" fontId="0" fillId="0" borderId="0" xfId="0" applyNumberFormat="1" applyAlignment="1">
      <alignment horizontal="left"/>
    </xf>
    <xf numFmtId="0" fontId="17" fillId="0" borderId="8" xfId="0" applyFont="1" applyBorder="1" applyAlignment="1">
      <alignment horizontal="center"/>
    </xf>
    <xf numFmtId="2" fontId="0" fillId="0" borderId="0" xfId="0" applyNumberFormat="1" applyAlignment="1">
      <alignment horizontal="left"/>
    </xf>
    <xf numFmtId="0" fontId="0" fillId="0" borderId="8" xfId="0" applyBorder="1" applyAlignment="1">
      <alignment horizontal="center"/>
    </xf>
    <xf numFmtId="167" fontId="0" fillId="0" borderId="8" xfId="0" applyNumberFormat="1" applyBorder="1" applyAlignment="1">
      <alignment horizontal="center"/>
    </xf>
    <xf numFmtId="0" fontId="0" fillId="0" borderId="21" xfId="0" applyBorder="1" applyAlignment="1">
      <alignment vertical="center"/>
    </xf>
    <xf numFmtId="167" fontId="0" fillId="0" borderId="0" xfId="0" applyNumberFormat="1"/>
    <xf numFmtId="167" fontId="0" fillId="0" borderId="1" xfId="0" applyNumberFormat="1" applyBorder="1" applyAlignment="1">
      <alignment horizontal="center"/>
    </xf>
    <xf numFmtId="10" fontId="0" fillId="0" borderId="0" xfId="0" applyNumberFormat="1" applyAlignment="1">
      <alignment horizontal="left"/>
    </xf>
    <xf numFmtId="0" fontId="18" fillId="0" borderId="4" xfId="0" applyFont="1" applyBorder="1" applyAlignment="1">
      <alignment horizontal="centerContinuous"/>
    </xf>
    <xf numFmtId="0" fontId="0" fillId="0" borderId="0" xfId="0" applyAlignment="1">
      <alignment horizontal="centerContinuous"/>
    </xf>
    <xf numFmtId="2" fontId="0" fillId="0" borderId="0" xfId="0" applyNumberFormat="1" applyAlignment="1">
      <alignment horizontal="centerContinuous"/>
    </xf>
    <xf numFmtId="0" fontId="0" fillId="0" borderId="1" xfId="0" applyBorder="1" applyAlignment="1">
      <alignment horizontal="centerContinuous"/>
    </xf>
    <xf numFmtId="166" fontId="0" fillId="0" borderId="28" xfId="0" applyNumberFormat="1" applyBorder="1" applyAlignment="1">
      <alignment horizontal="left" vertical="center"/>
    </xf>
    <xf numFmtId="0" fontId="0" fillId="0" borderId="29" xfId="0" applyBorder="1" applyAlignment="1">
      <alignment vertical="center"/>
    </xf>
    <xf numFmtId="2" fontId="0" fillId="0" borderId="29" xfId="0" applyNumberFormat="1" applyBorder="1" applyAlignment="1">
      <alignment vertical="center"/>
    </xf>
    <xf numFmtId="0" fontId="16" fillId="0" borderId="30" xfId="0" applyFont="1" applyBorder="1" applyAlignment="1">
      <alignment horizontal="center" vertical="center"/>
    </xf>
    <xf numFmtId="165" fontId="0" fillId="0" borderId="31" xfId="0" applyNumberFormat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24" xfId="0" applyBorder="1" applyAlignment="1">
      <alignment vertical="center"/>
    </xf>
    <xf numFmtId="165" fontId="0" fillId="0" borderId="24" xfId="0" applyNumberForma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166" fontId="0" fillId="0" borderId="13" xfId="0" applyNumberFormat="1" applyBorder="1" applyAlignment="1">
      <alignment horizontal="left" vertical="center"/>
    </xf>
    <xf numFmtId="0" fontId="16" fillId="0" borderId="32" xfId="0" applyFont="1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16" fillId="0" borderId="5" xfId="0" applyFont="1" applyBorder="1" applyAlignment="1">
      <alignment horizontal="left" vertical="center"/>
    </xf>
    <xf numFmtId="165" fontId="0" fillId="0" borderId="33" xfId="0" applyNumberFormat="1" applyBorder="1" applyAlignment="1">
      <alignment horizontal="center" vertical="center"/>
    </xf>
    <xf numFmtId="0" fontId="0" fillId="0" borderId="0" xfId="0" quotePrefix="1" applyAlignment="1">
      <alignment horizontal="center"/>
    </xf>
    <xf numFmtId="167" fontId="0" fillId="0" borderId="6" xfId="0" applyNumberFormat="1" applyBorder="1" applyAlignment="1">
      <alignment horizontal="center"/>
    </xf>
    <xf numFmtId="0" fontId="16" fillId="0" borderId="19" xfId="0" applyFont="1" applyBorder="1" applyAlignment="1">
      <alignment vertical="center"/>
    </xf>
    <xf numFmtId="0" fontId="14" fillId="0" borderId="19" xfId="0" applyFont="1" applyBorder="1" applyAlignment="1">
      <alignment vertical="center"/>
    </xf>
    <xf numFmtId="0" fontId="14" fillId="0" borderId="9" xfId="0" applyFont="1" applyBorder="1" applyAlignment="1">
      <alignment vertical="center"/>
    </xf>
    <xf numFmtId="0" fontId="14" fillId="0" borderId="9" xfId="0" applyFont="1" applyBorder="1" applyAlignment="1">
      <alignment horizontal="center" vertical="center"/>
    </xf>
    <xf numFmtId="0" fontId="0" fillId="0" borderId="34" xfId="0" applyBorder="1" applyAlignment="1">
      <alignment horizontal="left" vertical="center"/>
    </xf>
    <xf numFmtId="167" fontId="0" fillId="0" borderId="33" xfId="0" applyNumberFormat="1" applyBorder="1" applyAlignment="1">
      <alignment horizontal="center" vertical="center"/>
    </xf>
    <xf numFmtId="0" fontId="0" fillId="0" borderId="35" xfId="0" applyBorder="1" applyAlignment="1">
      <alignment horizontal="center"/>
    </xf>
    <xf numFmtId="0" fontId="16" fillId="0" borderId="36" xfId="0" applyFont="1" applyBorder="1" applyAlignment="1">
      <alignment vertical="center"/>
    </xf>
    <xf numFmtId="0" fontId="0" fillId="0" borderId="36" xfId="0" applyBorder="1" applyAlignment="1">
      <alignment vertical="center"/>
    </xf>
    <xf numFmtId="0" fontId="0" fillId="0" borderId="26" xfId="0" applyBorder="1" applyAlignment="1">
      <alignment horizontal="left" vertical="center"/>
    </xf>
    <xf numFmtId="0" fontId="0" fillId="0" borderId="21" xfId="0" applyBorder="1" applyAlignment="1">
      <alignment horizontal="center"/>
    </xf>
    <xf numFmtId="165" fontId="4" fillId="2" borderId="15" xfId="0" applyNumberFormat="1" applyFont="1" applyFill="1" applyBorder="1" applyAlignment="1" applyProtection="1">
      <alignment horizontal="center" vertical="center"/>
      <protection locked="0"/>
    </xf>
    <xf numFmtId="165" fontId="4" fillId="2" borderId="8" xfId="0" applyNumberFormat="1" applyFont="1" applyFill="1" applyBorder="1" applyAlignment="1" applyProtection="1">
      <alignment horizontal="center" vertical="center"/>
      <protection locked="0"/>
    </xf>
    <xf numFmtId="164" fontId="12" fillId="0" borderId="4" xfId="0" applyNumberFormat="1" applyFont="1" applyBorder="1" applyAlignment="1">
      <alignment horizontal="center"/>
    </xf>
    <xf numFmtId="0" fontId="0" fillId="0" borderId="0" xfId="0"/>
    <xf numFmtId="164" fontId="12" fillId="0" borderId="0" xfId="0" applyNumberFormat="1" applyFont="1" applyAlignment="1">
      <alignment horizontal="center"/>
    </xf>
    <xf numFmtId="0" fontId="2" fillId="0" borderId="7" xfId="0" applyFont="1" applyBorder="1" applyAlignment="1">
      <alignment horizontal="center" vertical="center"/>
    </xf>
    <xf numFmtId="0" fontId="0" fillId="0" borderId="3" xfId="0" applyBorder="1"/>
    <xf numFmtId="0" fontId="2" fillId="0" borderId="8" xfId="0" applyFont="1" applyBorder="1" applyAlignment="1">
      <alignment horizontal="center" vertical="center"/>
    </xf>
    <xf numFmtId="0" fontId="0" fillId="0" borderId="9" xfId="0" applyBorder="1"/>
    <xf numFmtId="0" fontId="0" fillId="0" borderId="10" xfId="0" applyBorder="1"/>
    <xf numFmtId="0" fontId="0" fillId="0" borderId="4" xfId="0" applyBorder="1"/>
    <xf numFmtId="0" fontId="0" fillId="0" borderId="1" xfId="0" applyBorder="1"/>
    <xf numFmtId="0" fontId="15" fillId="0" borderId="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3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14" fontId="2" fillId="0" borderId="0" xfId="0" applyNumberFormat="1" applyFont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C9E83-57B6-440C-979E-71D8653418FF}">
  <dimension ref="A2:Z45"/>
  <sheetViews>
    <sheetView tabSelected="1" topLeftCell="A6" workbookViewId="0">
      <selection activeCell="T22" sqref="T22"/>
    </sheetView>
  </sheetViews>
  <sheetFormatPr defaultRowHeight="14.4"/>
  <sheetData>
    <row r="2" spans="1:26" ht="20.100000000000001">
      <c r="A2" s="131"/>
      <c r="B2" s="130"/>
      <c r="C2" s="130"/>
      <c r="D2" s="130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132"/>
      <c r="W2" s="130"/>
      <c r="X2" s="132"/>
      <c r="Y2" s="130"/>
      <c r="Z2" s="1"/>
    </row>
    <row r="3" spans="1:26" ht="20.100000000000001">
      <c r="A3" s="130"/>
      <c r="B3" s="130"/>
      <c r="C3" s="130"/>
      <c r="D3" s="130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132"/>
      <c r="W3" s="130"/>
      <c r="X3" s="133"/>
      <c r="Y3" s="130"/>
      <c r="Z3" s="1"/>
    </row>
    <row r="4" spans="1:26" ht="20.100000000000001"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3"/>
      <c r="W4" s="3"/>
      <c r="X4" s="3"/>
      <c r="Y4" s="3"/>
    </row>
    <row r="5" spans="1:26" ht="30.3">
      <c r="E5" s="129"/>
      <c r="F5" s="130"/>
      <c r="G5" s="130"/>
      <c r="H5" s="130"/>
      <c r="I5" s="130"/>
      <c r="J5" s="130"/>
      <c r="K5" s="130"/>
      <c r="L5" s="130"/>
      <c r="M5" s="4"/>
      <c r="N5" s="4"/>
      <c r="O5" s="4"/>
    </row>
    <row r="6" spans="1:26" ht="30.3">
      <c r="A6" s="5"/>
      <c r="B6" s="5"/>
      <c r="C6" s="5"/>
      <c r="D6" s="5"/>
      <c r="E6" s="130"/>
      <c r="F6" s="130"/>
      <c r="G6" s="130"/>
      <c r="H6" s="130"/>
      <c r="I6" s="130"/>
      <c r="J6" s="130"/>
      <c r="K6" s="130"/>
      <c r="L6" s="130"/>
      <c r="M6" s="4"/>
      <c r="N6" s="4"/>
      <c r="O6" s="4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7.7">
      <c r="A7" s="6" t="s">
        <v>0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5.3">
      <c r="A8" s="8" t="s">
        <v>1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5.3">
      <c r="A9" s="8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5.3">
      <c r="A10" s="10" t="s">
        <v>2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5.3">
      <c r="A11" s="11" t="s">
        <v>3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5.3">
      <c r="A12" s="11" t="s">
        <v>4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5.3">
      <c r="A13" s="12" t="s">
        <v>5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5.3">
      <c r="A14" s="12" t="s">
        <v>6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>
      <c r="A15" s="14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>
      <c r="A16" s="15"/>
      <c r="B16" s="17"/>
      <c r="C16" s="18" t="s">
        <v>7</v>
      </c>
      <c r="D16" s="19" t="s">
        <v>8</v>
      </c>
      <c r="E16" s="20"/>
      <c r="F16" s="17"/>
      <c r="G16" s="17"/>
      <c r="H16" s="17"/>
      <c r="I16" s="21" t="s">
        <v>9</v>
      </c>
      <c r="J16" s="19" t="s">
        <v>10</v>
      </c>
      <c r="K16" s="15"/>
      <c r="L16" s="15"/>
      <c r="M16" s="15"/>
      <c r="N16" s="15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>
      <c r="A17" s="15"/>
      <c r="B17" s="17"/>
      <c r="C17" s="18" t="s">
        <v>11</v>
      </c>
      <c r="D17" s="19" t="s">
        <v>8</v>
      </c>
      <c r="E17" s="20"/>
      <c r="F17" s="17"/>
      <c r="G17" s="17"/>
      <c r="H17" s="17"/>
      <c r="I17" s="21" t="s">
        <v>12</v>
      </c>
      <c r="J17" s="19" t="s">
        <v>8</v>
      </c>
      <c r="K17" s="15"/>
      <c r="L17" s="15"/>
      <c r="M17" s="15"/>
      <c r="N17" s="15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>
      <c r="A18" s="15"/>
      <c r="B18" s="17"/>
      <c r="C18" s="18" t="s">
        <v>13</v>
      </c>
      <c r="D18" s="19" t="s">
        <v>8</v>
      </c>
      <c r="E18" s="20"/>
      <c r="F18" s="17"/>
      <c r="G18" s="17"/>
      <c r="H18" s="17"/>
      <c r="I18" s="21" t="s">
        <v>14</v>
      </c>
      <c r="J18" s="19" t="s">
        <v>8</v>
      </c>
      <c r="K18" s="15"/>
      <c r="L18" s="15"/>
      <c r="M18" s="15"/>
      <c r="N18" s="15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>
      <c r="A20" s="23"/>
      <c r="B20" s="23"/>
      <c r="C20" s="23"/>
      <c r="D20" s="23"/>
      <c r="E20" s="24"/>
      <c r="F20" s="25" t="s">
        <v>15</v>
      </c>
      <c r="G20" s="26"/>
      <c r="H20" s="25" t="s">
        <v>16</v>
      </c>
      <c r="I20" s="26"/>
      <c r="J20" s="25" t="s">
        <v>17</v>
      </c>
      <c r="K20" s="26"/>
      <c r="L20" s="27"/>
      <c r="M20" s="23"/>
      <c r="N20" s="23"/>
      <c r="O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>
      <c r="A21" s="28"/>
      <c r="B21" s="29"/>
      <c r="C21" s="29"/>
      <c r="D21" s="29"/>
      <c r="E21" s="30"/>
      <c r="F21" s="31">
        <v>3</v>
      </c>
      <c r="G21" s="32"/>
      <c r="H21" s="31">
        <v>10</v>
      </c>
      <c r="I21" s="32"/>
      <c r="J21" s="31">
        <v>2</v>
      </c>
      <c r="K21" s="32"/>
      <c r="L21" s="117"/>
      <c r="M21" s="118"/>
      <c r="N21" s="118"/>
      <c r="O21" s="33"/>
      <c r="R21" s="34"/>
      <c r="S21" s="34"/>
      <c r="T21" s="34"/>
      <c r="U21" s="34"/>
      <c r="V21" s="34"/>
      <c r="W21" s="34"/>
      <c r="X21" s="119"/>
      <c r="Y21" s="118"/>
    </row>
    <row r="22" spans="1:26">
      <c r="D22" s="35"/>
      <c r="G22" s="36"/>
      <c r="I22" s="36"/>
      <c r="K22" s="36"/>
      <c r="S22" s="36"/>
      <c r="U22" s="36"/>
      <c r="W22" s="36"/>
    </row>
    <row r="23" spans="1:26" ht="15">
      <c r="A23" s="120" t="s">
        <v>18</v>
      </c>
      <c r="B23" s="121"/>
      <c r="C23" s="122" t="s">
        <v>19</v>
      </c>
      <c r="D23" s="123"/>
      <c r="E23" s="123"/>
      <c r="F23" s="123"/>
      <c r="G23" s="123"/>
      <c r="H23" s="123"/>
      <c r="I23" s="123"/>
      <c r="J23" s="123"/>
      <c r="K23" s="123"/>
      <c r="L23" s="124"/>
      <c r="M23" s="120" t="s">
        <v>20</v>
      </c>
      <c r="N23" s="121"/>
      <c r="O23" s="127" t="s">
        <v>21</v>
      </c>
      <c r="P23" s="123"/>
      <c r="Q23" s="123"/>
      <c r="R23" s="123"/>
      <c r="S23" s="123"/>
      <c r="T23" s="123"/>
      <c r="U23" s="124"/>
      <c r="V23" s="127" t="s">
        <v>22</v>
      </c>
      <c r="W23" s="123"/>
      <c r="X23" s="123"/>
      <c r="Y23" s="124"/>
    </row>
    <row r="24" spans="1:26" ht="14.7" thickBot="1">
      <c r="A24" s="128" t="s">
        <v>23</v>
      </c>
      <c r="B24" s="126"/>
      <c r="C24" s="37">
        <v>1</v>
      </c>
      <c r="D24" s="37">
        <v>2</v>
      </c>
      <c r="E24" s="37">
        <v>3</v>
      </c>
      <c r="F24" s="37">
        <v>4</v>
      </c>
      <c r="G24" s="37">
        <v>5</v>
      </c>
      <c r="H24" s="37">
        <v>6</v>
      </c>
      <c r="I24" s="37">
        <v>7</v>
      </c>
      <c r="J24" s="37">
        <v>8</v>
      </c>
      <c r="K24" s="37">
        <v>9</v>
      </c>
      <c r="L24" s="37">
        <v>10</v>
      </c>
      <c r="M24" s="125"/>
      <c r="N24" s="126"/>
      <c r="O24" s="41" t="s">
        <v>24</v>
      </c>
      <c r="P24" s="42"/>
      <c r="Q24" s="42"/>
      <c r="R24" s="42"/>
      <c r="S24" s="42"/>
      <c r="T24" s="42"/>
      <c r="U24" s="38"/>
      <c r="V24" s="43"/>
      <c r="W24" s="42"/>
      <c r="X24" s="42"/>
      <c r="Y24" s="38"/>
    </row>
    <row r="25" spans="1:26" ht="15.3">
      <c r="A25" s="44" t="s">
        <v>25</v>
      </c>
      <c r="B25" s="45">
        <v>1</v>
      </c>
      <c r="C25" s="115">
        <v>0.97458</v>
      </c>
      <c r="D25" s="115">
        <v>0.98523000000000005</v>
      </c>
      <c r="E25" s="115">
        <v>0.98411999999999999</v>
      </c>
      <c r="F25" s="115">
        <v>0.98358000000000001</v>
      </c>
      <c r="G25" s="115">
        <v>0.98321000000000003</v>
      </c>
      <c r="H25" s="115">
        <v>0.97685</v>
      </c>
      <c r="I25" s="115">
        <v>0.98707999999999996</v>
      </c>
      <c r="J25" s="115">
        <v>0.98623000000000005</v>
      </c>
      <c r="K25" s="115">
        <v>0.98595999999999995</v>
      </c>
      <c r="L25" s="115">
        <v>0.98165999999999998</v>
      </c>
      <c r="M25" s="46"/>
      <c r="N25" s="47">
        <f t="shared" ref="N25:N39" si="0">IF(C25&lt;&gt;"",AVERAGE(C25:L25),"")</f>
        <v>0.98284999999999978</v>
      </c>
      <c r="O25" s="48" t="s">
        <v>26</v>
      </c>
      <c r="P25" s="36" t="s">
        <v>27</v>
      </c>
      <c r="Q25" s="49" t="s">
        <v>28</v>
      </c>
      <c r="T25" s="50" t="s">
        <v>15</v>
      </c>
      <c r="U25" s="51" t="s">
        <v>29</v>
      </c>
      <c r="V25" s="48" t="s">
        <v>30</v>
      </c>
      <c r="W25" s="36" t="s">
        <v>27</v>
      </c>
      <c r="X25" t="s">
        <v>31</v>
      </c>
      <c r="Y25" s="39"/>
    </row>
    <row r="26" spans="1:26" ht="15">
      <c r="A26" s="52">
        <v>2</v>
      </c>
      <c r="B26" s="53">
        <v>2</v>
      </c>
      <c r="C26" s="116">
        <v>0.97482000000000002</v>
      </c>
      <c r="D26" s="116">
        <v>0.98407999999999995</v>
      </c>
      <c r="E26" s="116">
        <v>0.98455999999999999</v>
      </c>
      <c r="F26" s="116">
        <v>0.98533000000000004</v>
      </c>
      <c r="G26" s="116">
        <v>0.98319999999999996</v>
      </c>
      <c r="H26" s="116">
        <v>0.97733999999999999</v>
      </c>
      <c r="I26" s="116">
        <v>0.98736000000000002</v>
      </c>
      <c r="J26" s="116">
        <v>0.98567000000000005</v>
      </c>
      <c r="K26" s="116">
        <v>0.98638999999999999</v>
      </c>
      <c r="L26" s="116">
        <v>0.98124999999999996</v>
      </c>
      <c r="M26" s="54"/>
      <c r="N26" s="55">
        <f t="shared" si="0"/>
        <v>0.98299999999999987</v>
      </c>
      <c r="O26" s="40"/>
      <c r="P26" s="36" t="s">
        <v>27</v>
      </c>
      <c r="Q26" t="str">
        <f>IF(C25&lt;&gt;"",CONCATENATE(TEXT($N$42,"0.000")," x ",CHOOSE($F$21,0,U26,U27)),"")</f>
        <v>0.001 x 0.5908</v>
      </c>
      <c r="T26" s="56">
        <v>2</v>
      </c>
      <c r="U26" s="57">
        <v>0.88619999999999999</v>
      </c>
      <c r="V26" s="48"/>
      <c r="W26" s="36" t="s">
        <v>27</v>
      </c>
      <c r="X26" t="str">
        <f>IF(C25&lt;&gt;"",CONCATENATE("100(",TEXT($Q$27,"0.000"),"/",TEXT($Q$44,"0.000"),")"),"")</f>
        <v>100(0.000/0.004)</v>
      </c>
      <c r="Y26" s="39"/>
    </row>
    <row r="27" spans="1:26" ht="15">
      <c r="A27" s="58">
        <f>A26+1</f>
        <v>3</v>
      </c>
      <c r="B27" s="59">
        <v>3</v>
      </c>
      <c r="C27" s="116">
        <v>0.97538000000000002</v>
      </c>
      <c r="D27" s="116">
        <v>0.98323000000000005</v>
      </c>
      <c r="E27" s="116">
        <v>0.98421999999999998</v>
      </c>
      <c r="F27" s="116">
        <v>0.98399999999999999</v>
      </c>
      <c r="G27" s="116">
        <v>0.98258000000000001</v>
      </c>
      <c r="H27" s="116">
        <v>0.97704000000000002</v>
      </c>
      <c r="I27" s="116">
        <v>0.98658999999999997</v>
      </c>
      <c r="J27" s="116">
        <v>0.98501000000000005</v>
      </c>
      <c r="K27" s="116">
        <v>0.98616000000000004</v>
      </c>
      <c r="L27" s="116">
        <v>0.98094000000000003</v>
      </c>
      <c r="M27" s="54"/>
      <c r="N27" s="55">
        <f t="shared" si="0"/>
        <v>0.98251500000000003</v>
      </c>
      <c r="O27" s="60"/>
      <c r="P27" s="61" t="s">
        <v>27</v>
      </c>
      <c r="Q27" s="62">
        <f>IF(C25&lt;&gt;"",$N$42*(CHOOSE($F$21,0,U26,U27)),"")</f>
        <v>4.5432520000000175E-4</v>
      </c>
      <c r="R27" s="63"/>
      <c r="S27" s="63"/>
      <c r="T27" s="64">
        <v>3</v>
      </c>
      <c r="U27" s="65">
        <v>0.59079999999999999</v>
      </c>
      <c r="V27" s="60"/>
      <c r="W27" s="61" t="s">
        <v>27</v>
      </c>
      <c r="X27" s="66">
        <f>IF(C25&lt;&gt;"",100*($Q$27/$Q$44),"")</f>
        <v>12.744838859330414</v>
      </c>
      <c r="Y27" s="67"/>
    </row>
    <row r="28" spans="1:26" ht="15">
      <c r="A28" s="58">
        <f>A27+1</f>
        <v>4</v>
      </c>
      <c r="B28" s="59" t="s">
        <v>32</v>
      </c>
      <c r="C28" s="68">
        <f t="shared" ref="C28:L28" si="1">IF(C25&lt;&gt;"",SUM(C25:C27)/COUNT(C25:C27),"")</f>
        <v>0.97492666666666672</v>
      </c>
      <c r="D28" s="68">
        <f t="shared" si="1"/>
        <v>0.98417999999999994</v>
      </c>
      <c r="E28" s="68">
        <f t="shared" si="1"/>
        <v>0.98430000000000006</v>
      </c>
      <c r="F28" s="68">
        <f t="shared" si="1"/>
        <v>0.98430333333333342</v>
      </c>
      <c r="G28" s="68">
        <f t="shared" si="1"/>
        <v>0.98299666666666674</v>
      </c>
      <c r="H28" s="68">
        <f t="shared" si="1"/>
        <v>0.9770766666666667</v>
      </c>
      <c r="I28" s="68">
        <f t="shared" si="1"/>
        <v>0.98701000000000005</v>
      </c>
      <c r="J28" s="68">
        <f t="shared" si="1"/>
        <v>0.98563666666666672</v>
      </c>
      <c r="K28" s="68">
        <f t="shared" si="1"/>
        <v>0.98616999999999999</v>
      </c>
      <c r="L28" s="68">
        <f t="shared" si="1"/>
        <v>0.98128333333333329</v>
      </c>
      <c r="M28" s="69" t="s">
        <v>33</v>
      </c>
      <c r="N28" s="55">
        <f t="shared" si="0"/>
        <v>0.98278833333333337</v>
      </c>
      <c r="O28" s="41" t="s">
        <v>34</v>
      </c>
      <c r="P28" s="42"/>
      <c r="Q28" s="42"/>
      <c r="R28" s="42"/>
      <c r="S28" s="42"/>
      <c r="T28" s="42"/>
      <c r="U28" s="38"/>
      <c r="V28" s="43"/>
      <c r="W28" s="42"/>
      <c r="X28" s="42"/>
      <c r="Y28" s="38"/>
    </row>
    <row r="29" spans="1:26" ht="15.3" thickBot="1">
      <c r="A29" s="70">
        <f>A28+1</f>
        <v>5</v>
      </c>
      <c r="B29" s="71" t="s">
        <v>35</v>
      </c>
      <c r="C29" s="72">
        <f t="shared" ref="C29:L29" si="2">IF(C25&lt;&gt;"",MAX(C25:C27)-MIN(C25:C27),"")</f>
        <v>8.0000000000002292E-4</v>
      </c>
      <c r="D29" s="72">
        <f t="shared" si="2"/>
        <v>2.0000000000000018E-3</v>
      </c>
      <c r="E29" s="72">
        <f t="shared" si="2"/>
        <v>4.3999999999999595E-4</v>
      </c>
      <c r="F29" s="72">
        <f t="shared" si="2"/>
        <v>1.7500000000000293E-3</v>
      </c>
      <c r="G29" s="72">
        <f t="shared" si="2"/>
        <v>6.3000000000001943E-4</v>
      </c>
      <c r="H29" s="72">
        <f t="shared" si="2"/>
        <v>4.8999999999999044E-4</v>
      </c>
      <c r="I29" s="72">
        <f t="shared" si="2"/>
        <v>7.7000000000004842E-4</v>
      </c>
      <c r="J29" s="72">
        <f t="shared" si="2"/>
        <v>1.2199999999999989E-3</v>
      </c>
      <c r="K29" s="72">
        <f t="shared" si="2"/>
        <v>4.3000000000004146E-4</v>
      </c>
      <c r="L29" s="72">
        <f t="shared" si="2"/>
        <v>7.1999999999994291E-4</v>
      </c>
      <c r="M29" s="73" t="s">
        <v>36</v>
      </c>
      <c r="N29" s="74">
        <f t="shared" si="0"/>
        <v>9.2500000000000915E-4</v>
      </c>
      <c r="O29" s="48" t="s">
        <v>37</v>
      </c>
      <c r="P29" s="36" t="s">
        <v>27</v>
      </c>
      <c r="Q29" t="s">
        <v>38</v>
      </c>
      <c r="U29" s="39"/>
      <c r="V29" s="48" t="s">
        <v>39</v>
      </c>
      <c r="W29" s="36" t="s">
        <v>27</v>
      </c>
      <c r="X29" t="s">
        <v>40</v>
      </c>
      <c r="Y29" s="39"/>
    </row>
    <row r="30" spans="1:26" ht="15">
      <c r="A30" s="44" t="s">
        <v>41</v>
      </c>
      <c r="B30" s="45">
        <v>1</v>
      </c>
      <c r="C30" s="116">
        <v>0.97607999999999995</v>
      </c>
      <c r="D30" s="116">
        <v>0.98409999999999997</v>
      </c>
      <c r="E30" s="116">
        <v>0.98433000000000004</v>
      </c>
      <c r="F30" s="116">
        <v>0.98419999999999996</v>
      </c>
      <c r="G30" s="116">
        <v>0.98289000000000004</v>
      </c>
      <c r="H30" s="116">
        <v>0.97677999999999998</v>
      </c>
      <c r="I30" s="116">
        <v>0.98597000000000001</v>
      </c>
      <c r="J30" s="116">
        <v>0.98487999999999998</v>
      </c>
      <c r="K30" s="116">
        <v>0.98665000000000003</v>
      </c>
      <c r="L30" s="116">
        <v>0.98053999999999997</v>
      </c>
      <c r="M30" s="46"/>
      <c r="N30" s="47">
        <f t="shared" si="0"/>
        <v>0.98264200000000002</v>
      </c>
      <c r="O30" s="40"/>
      <c r="P30" s="36" t="s">
        <v>27</v>
      </c>
      <c r="Q30" t="str">
        <f>IF(C25&lt;&gt;"",CONCATENATE("{(",TEXT($N$43,"0.000")," x ",CHOOSE($J$21,0,T32,U32),")^2 - (",TEXT($Q$27,"0.000")," ^2/(",$H$21," x ",$F$21,"))}^1/2"),"")</f>
        <v>{(0.000 x 0.7071)^2 - (0.000 ^2/(10 x 3))}^1/2</v>
      </c>
      <c r="U30" s="39"/>
      <c r="V30" s="48"/>
      <c r="W30" s="36" t="s">
        <v>27</v>
      </c>
      <c r="X30" t="str">
        <f>IF(C25&lt;&gt;"",CONCATENATE("100(",TEXT($Q$31,"0.000"),"/",TEXT($Q$44,"0.000"),")"),"")</f>
        <v>100(0.000/0.004)</v>
      </c>
      <c r="Y30" s="39"/>
    </row>
    <row r="31" spans="1:26" ht="15">
      <c r="A31" s="58">
        <v>7</v>
      </c>
      <c r="B31" s="53">
        <v>2</v>
      </c>
      <c r="C31" s="116">
        <v>0.97521000000000002</v>
      </c>
      <c r="D31" s="116">
        <v>0.98377000000000003</v>
      </c>
      <c r="E31" s="116">
        <v>0.98377999999999999</v>
      </c>
      <c r="F31" s="116">
        <v>0.98416999999999999</v>
      </c>
      <c r="G31" s="116">
        <v>0.98202</v>
      </c>
      <c r="H31" s="116">
        <v>0.97716999999999998</v>
      </c>
      <c r="I31" s="116">
        <v>0.98646999999999996</v>
      </c>
      <c r="J31" s="116">
        <v>0.98548999999999998</v>
      </c>
      <c r="K31" s="116">
        <v>0.98616999999999999</v>
      </c>
      <c r="L31" s="116">
        <v>0.98116000000000003</v>
      </c>
      <c r="M31" s="54"/>
      <c r="N31" s="55">
        <f t="shared" si="0"/>
        <v>0.98254099999999978</v>
      </c>
      <c r="O31" s="40"/>
      <c r="P31" s="36" t="s">
        <v>27</v>
      </c>
      <c r="Q31" s="75">
        <f>IF(C25="","",IF(($N$43*CHOOSE($J$21,0,T32,U32))^2-$Q$27^2/($H$21*$F$21)&lt;0,0,(($N$43*CHOOSE($J$21,0,T32,U32))^2-$Q$27^2/($H$21*$F$21))^(1/2)))</f>
        <v>1.2543022860958471E-4</v>
      </c>
      <c r="S31" s="76" t="s">
        <v>17</v>
      </c>
      <c r="T31" s="50">
        <v>2</v>
      </c>
      <c r="U31" s="50">
        <v>3</v>
      </c>
      <c r="V31" s="48"/>
      <c r="W31" s="36" t="s">
        <v>27</v>
      </c>
      <c r="X31" s="77">
        <f>IF(C25&lt;&gt;"",100*($Q$31/$Q$44),"")</f>
        <v>3.5185986859591472</v>
      </c>
      <c r="Y31" s="39"/>
    </row>
    <row r="32" spans="1:26" ht="15">
      <c r="A32" s="58">
        <f>A31+1</f>
        <v>8</v>
      </c>
      <c r="B32" s="59">
        <v>3</v>
      </c>
      <c r="C32" s="116">
        <v>0.97555000000000003</v>
      </c>
      <c r="D32" s="116">
        <v>0.98431999999999997</v>
      </c>
      <c r="E32" s="116">
        <v>0.98409000000000002</v>
      </c>
      <c r="F32" s="116">
        <v>0.98397000000000001</v>
      </c>
      <c r="G32" s="116">
        <v>0.98292000000000002</v>
      </c>
      <c r="H32" s="116">
        <v>0.97697000000000001</v>
      </c>
      <c r="I32" s="116">
        <v>0.98553999999999997</v>
      </c>
      <c r="J32" s="116">
        <v>0.98499000000000003</v>
      </c>
      <c r="K32" s="116">
        <v>0.98651</v>
      </c>
      <c r="L32" s="116">
        <v>0.98058000000000001</v>
      </c>
      <c r="M32" s="54"/>
      <c r="N32" s="55">
        <f t="shared" si="0"/>
        <v>0.98254400000000008</v>
      </c>
      <c r="O32" s="60"/>
      <c r="P32" s="63"/>
      <c r="Q32" s="63"/>
      <c r="R32" s="63"/>
      <c r="S32" s="78" t="s">
        <v>42</v>
      </c>
      <c r="T32" s="78">
        <v>0.70709999999999995</v>
      </c>
      <c r="U32" s="79">
        <v>0.52310000000000001</v>
      </c>
      <c r="V32" s="40" t="s">
        <v>43</v>
      </c>
      <c r="Y32" s="39"/>
    </row>
    <row r="33" spans="1:25" ht="15">
      <c r="A33" s="58">
        <f>A32+1</f>
        <v>9</v>
      </c>
      <c r="B33" s="59" t="s">
        <v>32</v>
      </c>
      <c r="C33" s="68">
        <f t="shared" ref="C33:L33" si="3">IF(C30&lt;&gt;"",SUM(C30:C32)/COUNT(C30:C32),"")</f>
        <v>0.97561333333333333</v>
      </c>
      <c r="D33" s="68">
        <f t="shared" si="3"/>
        <v>0.98406333333333329</v>
      </c>
      <c r="E33" s="68">
        <f t="shared" si="3"/>
        <v>0.98406666666666665</v>
      </c>
      <c r="F33" s="68">
        <f t="shared" si="3"/>
        <v>0.98411333333333328</v>
      </c>
      <c r="G33" s="68">
        <f t="shared" si="3"/>
        <v>0.98261000000000009</v>
      </c>
      <c r="H33" s="68">
        <f t="shared" si="3"/>
        <v>0.97697333333333336</v>
      </c>
      <c r="I33" s="68">
        <f t="shared" si="3"/>
        <v>0.98599333333333339</v>
      </c>
      <c r="J33" s="68">
        <f t="shared" si="3"/>
        <v>0.98511999999999988</v>
      </c>
      <c r="K33" s="68">
        <f t="shared" si="3"/>
        <v>0.98644333333333334</v>
      </c>
      <c r="L33" s="68">
        <f t="shared" si="3"/>
        <v>0.98076000000000008</v>
      </c>
      <c r="M33" s="69" t="s">
        <v>44</v>
      </c>
      <c r="N33" s="55">
        <f t="shared" si="0"/>
        <v>0.98257566666666674</v>
      </c>
      <c r="O33" s="41" t="s">
        <v>45</v>
      </c>
      <c r="P33" s="42"/>
      <c r="Q33" s="42"/>
      <c r="R33" s="42"/>
      <c r="S33" s="42"/>
      <c r="T33" s="42"/>
      <c r="U33" s="38"/>
      <c r="V33" s="60" t="s">
        <v>46</v>
      </c>
      <c r="W33" s="63"/>
      <c r="X33" s="63"/>
      <c r="Y33" s="67"/>
    </row>
    <row r="34" spans="1:25" ht="15.3" thickBot="1">
      <c r="A34" s="70">
        <f>A33+1</f>
        <v>10</v>
      </c>
      <c r="B34" s="71" t="s">
        <v>35</v>
      </c>
      <c r="C34" s="72">
        <f t="shared" ref="C34:L34" si="4">IF(C30&lt;&gt;"",MAX(C30:C32)-MIN(C30:C32),"")</f>
        <v>8.6999999999992639E-4</v>
      </c>
      <c r="D34" s="72">
        <f t="shared" si="4"/>
        <v>5.4999999999993943E-4</v>
      </c>
      <c r="E34" s="72">
        <f t="shared" si="4"/>
        <v>5.5000000000005045E-4</v>
      </c>
      <c r="F34" s="72">
        <f t="shared" si="4"/>
        <v>2.2999999999995246E-4</v>
      </c>
      <c r="G34" s="72">
        <f t="shared" si="4"/>
        <v>9.000000000000119E-4</v>
      </c>
      <c r="H34" s="72">
        <f t="shared" si="4"/>
        <v>3.9000000000000146E-4</v>
      </c>
      <c r="I34" s="72">
        <f t="shared" si="4"/>
        <v>9.2999999999998639E-4</v>
      </c>
      <c r="J34" s="72">
        <f t="shared" si="4"/>
        <v>6.0999999999999943E-4</v>
      </c>
      <c r="K34" s="72">
        <f t="shared" si="4"/>
        <v>4.8000000000003595E-4</v>
      </c>
      <c r="L34" s="72">
        <f t="shared" si="4"/>
        <v>6.2000000000006494E-4</v>
      </c>
      <c r="M34" s="73" t="s">
        <v>47</v>
      </c>
      <c r="N34" s="74">
        <f t="shared" si="0"/>
        <v>6.129999999999969E-4</v>
      </c>
      <c r="O34" s="48" t="s">
        <v>48</v>
      </c>
      <c r="P34" s="36" t="s">
        <v>27</v>
      </c>
      <c r="Q34" t="s">
        <v>49</v>
      </c>
      <c r="T34" s="50" t="s">
        <v>16</v>
      </c>
      <c r="U34" s="51" t="s">
        <v>50</v>
      </c>
      <c r="V34" s="43"/>
      <c r="W34" s="42"/>
      <c r="X34" s="42"/>
      <c r="Y34" s="38"/>
    </row>
    <row r="35" spans="1:25" ht="15">
      <c r="A35" s="80" t="s">
        <v>51</v>
      </c>
      <c r="B35" s="59">
        <v>1</v>
      </c>
      <c r="C35" s="116"/>
      <c r="D35" s="116"/>
      <c r="E35" s="116"/>
      <c r="F35" s="116"/>
      <c r="G35" s="116"/>
      <c r="H35" s="116"/>
      <c r="I35" s="116"/>
      <c r="J35" s="116"/>
      <c r="K35" s="116"/>
      <c r="L35" s="116"/>
      <c r="M35" s="54"/>
      <c r="N35" s="55" t="str">
        <f t="shared" si="0"/>
        <v/>
      </c>
      <c r="O35" s="40"/>
      <c r="P35" s="36" t="s">
        <v>27</v>
      </c>
      <c r="Q35" s="81" t="str">
        <f>IF(C25&lt;&gt;"",CONCATENATE("{(",TEXT($Q$27,"0.000"),"^2 + ",TEXT($Q$31,"0.000"),"^2)}^1/2"),"")</f>
        <v>{(0.000^2 + 0.000^2)}^1/2</v>
      </c>
      <c r="T35" s="56">
        <v>2</v>
      </c>
      <c r="U35" s="82">
        <v>0.70709999999999995</v>
      </c>
      <c r="V35" s="48" t="s">
        <v>52</v>
      </c>
      <c r="W35" s="36" t="s">
        <v>27</v>
      </c>
      <c r="X35" t="s">
        <v>53</v>
      </c>
      <c r="Y35" s="39"/>
    </row>
    <row r="36" spans="1:25" ht="15">
      <c r="A36" s="58">
        <v>12</v>
      </c>
      <c r="B36" s="53">
        <v>2</v>
      </c>
      <c r="C36" s="116"/>
      <c r="D36" s="116"/>
      <c r="E36" s="116"/>
      <c r="F36" s="116"/>
      <c r="G36" s="116"/>
      <c r="H36" s="116"/>
      <c r="I36" s="116"/>
      <c r="J36" s="116"/>
      <c r="K36" s="116"/>
      <c r="L36" s="116"/>
      <c r="M36" s="54"/>
      <c r="N36" s="55" t="str">
        <f t="shared" si="0"/>
        <v/>
      </c>
      <c r="O36" s="60"/>
      <c r="P36" s="61" t="s">
        <v>27</v>
      </c>
      <c r="Q36" s="75">
        <f>IF(C25&lt;&gt;"",($Q$27^2+$Q$31^2)^(1/2),"")</f>
        <v>4.7132168378305521E-4</v>
      </c>
      <c r="R36" s="63"/>
      <c r="S36" s="63"/>
      <c r="T36" s="56">
        <v>3</v>
      </c>
      <c r="U36" s="82">
        <v>0.52310000000000001</v>
      </c>
      <c r="V36" s="48"/>
      <c r="W36" s="36" t="s">
        <v>27</v>
      </c>
      <c r="X36" t="str">
        <f>IF(C25&lt;&gt;"",CONCATENATE("100(",TEXT($Q$36,"0.000"),"/",TEXT($Q$44,"0.000"),")"),"")</f>
        <v>100(0.000/0.004)</v>
      </c>
      <c r="Y36" s="39"/>
    </row>
    <row r="37" spans="1:25" ht="15">
      <c r="A37" s="58">
        <f>A36+1</f>
        <v>13</v>
      </c>
      <c r="B37" s="59">
        <v>3</v>
      </c>
      <c r="C37" s="116"/>
      <c r="D37" s="116"/>
      <c r="E37" s="116"/>
      <c r="F37" s="116"/>
      <c r="G37" s="116"/>
      <c r="H37" s="116"/>
      <c r="I37" s="116"/>
      <c r="J37" s="116"/>
      <c r="K37" s="116"/>
      <c r="L37" s="116"/>
      <c r="M37" s="54"/>
      <c r="N37" s="55" t="str">
        <f t="shared" si="0"/>
        <v/>
      </c>
      <c r="O37" s="41" t="s">
        <v>54</v>
      </c>
      <c r="P37" s="42"/>
      <c r="Q37" s="42"/>
      <c r="R37" s="42"/>
      <c r="S37" s="42"/>
      <c r="T37" s="56">
        <v>4</v>
      </c>
      <c r="U37" s="82">
        <v>0.44669999999999999</v>
      </c>
      <c r="V37" s="48"/>
      <c r="W37" s="36" t="s">
        <v>27</v>
      </c>
      <c r="X37" s="83">
        <f>IF(C25&lt;&gt;"",($Q$36/$Q$44),"")</f>
        <v>0.13221628275788577</v>
      </c>
      <c r="Y37" s="39"/>
    </row>
    <row r="38" spans="1:25" ht="15">
      <c r="A38" s="58">
        <f>A37+1</f>
        <v>14</v>
      </c>
      <c r="B38" s="59" t="s">
        <v>32</v>
      </c>
      <c r="C38" s="68" t="str">
        <f t="shared" ref="C38:L38" si="5">IF(C35&lt;&gt;"",SUM(C35:C37)/COUNT(C35:C37),"")</f>
        <v/>
      </c>
      <c r="D38" s="68" t="str">
        <f t="shared" si="5"/>
        <v/>
      </c>
      <c r="E38" s="68" t="str">
        <f t="shared" si="5"/>
        <v/>
      </c>
      <c r="F38" s="68" t="str">
        <f t="shared" si="5"/>
        <v/>
      </c>
      <c r="G38" s="68" t="str">
        <f t="shared" si="5"/>
        <v/>
      </c>
      <c r="H38" s="68" t="str">
        <f t="shared" si="5"/>
        <v/>
      </c>
      <c r="I38" s="68" t="str">
        <f t="shared" si="5"/>
        <v/>
      </c>
      <c r="J38" s="68" t="str">
        <f t="shared" si="5"/>
        <v/>
      </c>
      <c r="K38" s="68" t="str">
        <f t="shared" si="5"/>
        <v/>
      </c>
      <c r="L38" s="68" t="str">
        <f t="shared" si="5"/>
        <v/>
      </c>
      <c r="M38" s="69" t="s">
        <v>55</v>
      </c>
      <c r="N38" s="55" t="str">
        <f t="shared" si="0"/>
        <v/>
      </c>
      <c r="O38" s="48" t="s">
        <v>56</v>
      </c>
      <c r="P38" s="36" t="s">
        <v>27</v>
      </c>
      <c r="Q38" t="s">
        <v>57</v>
      </c>
      <c r="T38" s="56">
        <v>5</v>
      </c>
      <c r="U38" s="82">
        <v>0.40300000000000002</v>
      </c>
      <c r="V38" s="84" t="str">
        <f>IF(C26&lt;&gt;"",IF(X37&lt;10%,"Gage system O.K",IF(X37&lt;30%,"Gage system may be acceptable","Gage system needs improvement")),"")</f>
        <v>Gage system may be acceptable</v>
      </c>
      <c r="W38" s="85"/>
      <c r="X38" s="86"/>
      <c r="Y38" s="87"/>
    </row>
    <row r="39" spans="1:25" ht="15.3" thickBot="1">
      <c r="A39" s="70">
        <f>A38+1</f>
        <v>15</v>
      </c>
      <c r="B39" s="71" t="s">
        <v>35</v>
      </c>
      <c r="C39" s="72" t="str">
        <f t="shared" ref="C39:L39" si="6">IF(C35&lt;&gt;"",MAX(C35:C37)-MIN(C35:C37),"")</f>
        <v/>
      </c>
      <c r="D39" s="72" t="str">
        <f t="shared" si="6"/>
        <v/>
      </c>
      <c r="E39" s="72" t="str">
        <f t="shared" si="6"/>
        <v/>
      </c>
      <c r="F39" s="72" t="str">
        <f t="shared" si="6"/>
        <v/>
      </c>
      <c r="G39" s="72" t="str">
        <f t="shared" si="6"/>
        <v/>
      </c>
      <c r="H39" s="72" t="str">
        <f t="shared" si="6"/>
        <v/>
      </c>
      <c r="I39" s="72" t="str">
        <f t="shared" si="6"/>
        <v/>
      </c>
      <c r="J39" s="72" t="str">
        <f t="shared" si="6"/>
        <v/>
      </c>
      <c r="K39" s="72" t="str">
        <f t="shared" si="6"/>
        <v/>
      </c>
      <c r="L39" s="72" t="str">
        <f t="shared" si="6"/>
        <v/>
      </c>
      <c r="M39" s="73" t="s">
        <v>58</v>
      </c>
      <c r="N39" s="55" t="str">
        <f t="shared" si="0"/>
        <v/>
      </c>
      <c r="O39" s="48"/>
      <c r="P39" s="36" t="s">
        <v>27</v>
      </c>
      <c r="Q39" t="str">
        <f>IF(C25&lt;&gt;"",CONCATENATE(TEXT($N$41,"0.000")," x ",CHOOSE($H$21,0,U35,U36,U37,U38,U39,U40,U41,U42,U43)),"")</f>
        <v>0.011 x 0.3146</v>
      </c>
      <c r="T39" s="56">
        <v>6</v>
      </c>
      <c r="U39" s="82">
        <v>0.37419999999999998</v>
      </c>
      <c r="V39" s="43"/>
      <c r="W39" s="42"/>
      <c r="X39" s="42"/>
      <c r="Y39" s="38"/>
    </row>
    <row r="40" spans="1:25" ht="15">
      <c r="A40" s="88" t="s">
        <v>59</v>
      </c>
      <c r="B40" s="89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1" t="s">
        <v>60</v>
      </c>
      <c r="N40" s="92">
        <f>IF(C25&lt;&gt;"",AVERAGE(C41:L41),"")</f>
        <v>0.98268200000000017</v>
      </c>
      <c r="O40" s="93"/>
      <c r="P40" s="61" t="s">
        <v>27</v>
      </c>
      <c r="Q40" s="75">
        <f>IF(C25&lt;&gt;"",$N$41*CHOOSE($H$21,0,U35,U36,U37,U38,U39,U40,U41,U42,U43),"")</f>
        <v>3.5334823333333246E-3</v>
      </c>
      <c r="R40" s="63"/>
      <c r="S40" s="63"/>
      <c r="T40" s="56">
        <v>7</v>
      </c>
      <c r="U40" s="82">
        <v>0.35339999999999999</v>
      </c>
      <c r="V40" s="48" t="s">
        <v>61</v>
      </c>
      <c r="W40" s="36" t="s">
        <v>27</v>
      </c>
      <c r="X40" t="s">
        <v>62</v>
      </c>
      <c r="Y40" s="39"/>
    </row>
    <row r="41" spans="1:25" ht="14.7" thickBot="1">
      <c r="A41" s="70" t="s">
        <v>63</v>
      </c>
      <c r="B41" s="94"/>
      <c r="C41" s="95">
        <f t="shared" ref="C41:L41" si="7">IF(C28&lt;&gt;"",SUM(C28,C33,C38)/COUNT(C28,C33,C38),"")</f>
        <v>0.97527000000000008</v>
      </c>
      <c r="D41" s="95">
        <f t="shared" si="7"/>
        <v>0.98412166666666656</v>
      </c>
      <c r="E41" s="95">
        <f t="shared" si="7"/>
        <v>0.98418333333333341</v>
      </c>
      <c r="F41" s="95">
        <f t="shared" si="7"/>
        <v>0.98420833333333335</v>
      </c>
      <c r="G41" s="95">
        <f t="shared" si="7"/>
        <v>0.98280333333333347</v>
      </c>
      <c r="H41" s="95">
        <f t="shared" si="7"/>
        <v>0.97702500000000003</v>
      </c>
      <c r="I41" s="95">
        <f t="shared" si="7"/>
        <v>0.98650166666666672</v>
      </c>
      <c r="J41" s="95">
        <f t="shared" si="7"/>
        <v>0.98537833333333325</v>
      </c>
      <c r="K41" s="95">
        <f t="shared" si="7"/>
        <v>0.98630666666666666</v>
      </c>
      <c r="L41" s="95">
        <f t="shared" si="7"/>
        <v>0.98102166666666668</v>
      </c>
      <c r="M41" s="96" t="s">
        <v>64</v>
      </c>
      <c r="N41" s="74">
        <f>IF(C25&lt;&gt;"",MAX(C41:L41)-MIN(C41:L41),"")</f>
        <v>1.123166666666664E-2</v>
      </c>
      <c r="O41" s="41" t="s">
        <v>65</v>
      </c>
      <c r="P41" s="42"/>
      <c r="Q41" s="42"/>
      <c r="R41" s="42"/>
      <c r="S41" s="42"/>
      <c r="T41" s="56">
        <v>8</v>
      </c>
      <c r="U41" s="82">
        <v>0.33750000000000002</v>
      </c>
      <c r="V41" s="48"/>
      <c r="W41" s="36" t="s">
        <v>27</v>
      </c>
      <c r="X41" t="str">
        <f>IF(C25&lt;&gt;"",CONCATENATE("100(",TEXT($Q$40,"0.000"),"/",TEXT($Q$46,"0.000"),")"),"")</f>
        <v>100(0.004/0.000)</v>
      </c>
      <c r="Y41" s="39"/>
    </row>
    <row r="42" spans="1:25" ht="15">
      <c r="A42" s="97">
        <f>A39+2</f>
        <v>17</v>
      </c>
      <c r="B42" s="46" t="s">
        <v>66</v>
      </c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98" t="s">
        <v>67</v>
      </c>
      <c r="N42" s="47">
        <f>IF(C25&lt;&gt;"",SUM(N29,N34,N39)/J21,"")</f>
        <v>7.6900000000000297E-4</v>
      </c>
      <c r="O42" s="48" t="s">
        <v>68</v>
      </c>
      <c r="P42" s="36" t="s">
        <v>27</v>
      </c>
      <c r="Q42" t="s">
        <v>69</v>
      </c>
      <c r="T42" s="56">
        <v>9</v>
      </c>
      <c r="U42" s="82">
        <v>0.32490000000000002</v>
      </c>
      <c r="V42" s="93"/>
      <c r="W42" s="61" t="s">
        <v>27</v>
      </c>
      <c r="X42" s="66">
        <f>IF(C25&lt;&gt;"",100*($Q$40/$Q$44),"")</f>
        <v>99.122089090862431</v>
      </c>
      <c r="Y42" s="67"/>
    </row>
    <row r="43" spans="1:25" ht="15">
      <c r="A43" s="52">
        <f>A42+1</f>
        <v>18</v>
      </c>
      <c r="B43" s="99" t="s">
        <v>70</v>
      </c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100" t="s">
        <v>71</v>
      </c>
      <c r="N43" s="101">
        <f>IF(C25&lt;&gt;"",MAX(N28,N33,N38)-MIN(N28,N33,N38),"")</f>
        <v>2.126666666666388E-4</v>
      </c>
      <c r="O43" s="48"/>
      <c r="P43" s="102" t="s">
        <v>27</v>
      </c>
      <c r="Q43" s="77" t="str">
        <f>IF(C25&lt;&gt;"",CONCATENATE("{(",TEXT($Q$36,"0.000"),"^2 + ",TEXT($Q$40,"0.000"),"^2)}^1/2"),"")</f>
        <v>{(0.000^2 + 0.004^2)}^1/2</v>
      </c>
      <c r="T43" s="64">
        <v>10</v>
      </c>
      <c r="U43" s="103">
        <v>0.31459999999999999</v>
      </c>
      <c r="V43" s="48" t="s">
        <v>72</v>
      </c>
      <c r="W43" s="102" t="s">
        <v>27</v>
      </c>
      <c r="X43" t="s">
        <v>73</v>
      </c>
      <c r="Y43" s="39"/>
    </row>
    <row r="44" spans="1:25" ht="15">
      <c r="A44" s="52">
        <f>A43+1</f>
        <v>19</v>
      </c>
      <c r="B44" s="104" t="s">
        <v>74</v>
      </c>
      <c r="C44" s="99"/>
      <c r="D44" s="99"/>
      <c r="E44" s="105" t="str">
        <f>IF(C25="","",IF(OR(G44&lt;&gt;"",H44&lt;&gt;"",I44&lt;&gt;""),"APPRAISER",""))</f>
        <v>APPRAISER</v>
      </c>
      <c r="F44" s="106"/>
      <c r="G44" s="107" t="str">
        <f>IF(C25="","",IF(OR(AND($C29&lt;&gt;"",$C29&gt;$N$44),AND($D29&lt;&gt;"",$D29&gt;$N$44),AND($E29&lt;&gt;"",$E29&gt;$N$44),AND($F29&lt;&gt;"",$F29&gt;$N$44),AND($G29&lt;&gt;"",$G29&gt;$N$44),AND($H29&lt;&gt;"",$H29&gt;$N$44),AND($I29&lt;&gt;"",$I29&gt;$N$44),AND($J29&lt;&gt;"",$J29&gt;$N$44),AND($K29&lt;&gt;"",$K29&gt;$N$44),AND($L29&lt;&gt;"",$L29&gt;$N$44)),"A",""))</f>
        <v>A</v>
      </c>
      <c r="H44" s="107" t="str">
        <f>IF(C25="","",IF(OR(AND($C34&lt;&gt;"",$C34&gt;$N$44),AND($D34&lt;&gt;"",$D34&gt;$N$44),AND($E34&lt;&gt;"",$E34&gt;$N$44),AND($F34&lt;&gt;"",$F34&gt;$N$44),AND($G34&lt;&gt;"",$G34&gt;$N$44),AND($H34&lt;&gt;"",$H34&gt;$N$44),AND($I34&lt;&gt;"",$I34&gt;$N$44),AND($J34&lt;&gt;"",$J34&gt;$N$44),AND($K34&lt;&gt;"",$K34&gt;$N$44),AND($L34&lt;&gt;"",$L34&gt;$N$44)),"B",""))</f>
        <v/>
      </c>
      <c r="I44" s="107" t="str">
        <f>IF(C25="","",IF(OR(AND($C39&lt;&gt;"",$C39&gt;$N$44),AND($D39&lt;&gt;"",$D39&gt;$N$44),AND($E39&lt;&gt;"",$E39&gt;$N$44),AND($F39&lt;&gt;"",$F39&gt;$N$44),AND($G39&lt;&gt;"",$G39&gt;$N$44),AND($H39&lt;&gt;"",$H39&gt;$N$44),AND($I39&lt;&gt;"",$I39&gt;$N$44),AND($J39&lt;&gt;"",$J39&gt;$N$44),AND($K39&lt;&gt;"",$K39&gt;$N$44),AND($L39&lt;&gt;"",$L39&gt;$N$44)),"C",""))</f>
        <v/>
      </c>
      <c r="J44" s="106" t="str">
        <f>IF(C25="","",IF(OR(G44&lt;&gt;"",H44&lt;&gt;"",I44&lt;&gt;""),"OUT OF CONTROL",""))</f>
        <v>OUT OF CONTROL</v>
      </c>
      <c r="K44" s="99"/>
      <c r="L44" s="99"/>
      <c r="M44" s="108" t="s">
        <v>75</v>
      </c>
      <c r="N44" s="109">
        <f>IF(C25&lt;&gt;"",IF(F21=3,2.58*N42,3.27*N42),"")</f>
        <v>1.9840200000000078E-3</v>
      </c>
      <c r="O44" s="110"/>
      <c r="P44" s="102" t="s">
        <v>27</v>
      </c>
      <c r="Q44" s="75">
        <f>IF(C25&lt;&gt;"",($Q$36^2+$Q$40^2)^(1/2),"")</f>
        <v>3.5647779074695256E-3</v>
      </c>
      <c r="V44" s="40"/>
      <c r="W44" s="102" t="s">
        <v>27</v>
      </c>
      <c r="X44">
        <f>IF(OR(Q36="",Q40=""),"",1.41*(+Q40/Q36))</f>
        <v>10.570721147413302</v>
      </c>
      <c r="Y44" s="39"/>
    </row>
    <row r="45" spans="1:25" ht="15.3" thickBot="1">
      <c r="A45" s="70">
        <f>A44+1</f>
        <v>20</v>
      </c>
      <c r="B45" s="111" t="s">
        <v>76</v>
      </c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3" t="s">
        <v>77</v>
      </c>
      <c r="N45" s="74">
        <f>IF(C25&lt;&gt;"",0,"")</f>
        <v>0</v>
      </c>
      <c r="O45" s="114"/>
      <c r="P45" s="61"/>
      <c r="Q45" s="62"/>
      <c r="R45" s="63"/>
      <c r="S45" s="63"/>
      <c r="T45" s="63"/>
      <c r="U45" s="67"/>
      <c r="V45" s="63"/>
      <c r="W45" s="63"/>
      <c r="X45" s="63"/>
      <c r="Y45" s="67"/>
    </row>
  </sheetData>
  <mergeCells count="14">
    <mergeCell ref="E5:L6"/>
    <mergeCell ref="A2:D3"/>
    <mergeCell ref="V2:W2"/>
    <mergeCell ref="X2:Y2"/>
    <mergeCell ref="V3:W3"/>
    <mergeCell ref="X3:Y3"/>
    <mergeCell ref="L21:N21"/>
    <mergeCell ref="X21:Y21"/>
    <mergeCell ref="A23:B23"/>
    <mergeCell ref="C23:L23"/>
    <mergeCell ref="M23:N24"/>
    <mergeCell ref="O23:U23"/>
    <mergeCell ref="V23:Y23"/>
    <mergeCell ref="A24:B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GRR Data 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 PENG</dc:creator>
  <cp:lastModifiedBy>REN PENG</cp:lastModifiedBy>
  <dcterms:created xsi:type="dcterms:W3CDTF">2025-06-15T11:23:31Z</dcterms:created>
  <dcterms:modified xsi:type="dcterms:W3CDTF">2025-06-22T10:16:39Z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2025-06-15T11:23:59Z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8bb22bcc-7d7d-4f76-bc3a-35b6bffccd3b</vt:lpwstr>
  </property>
  <property fmtid="{D5CDD505-2E9C-101B-9397-08002B2CF9AE}" pid="7" name="MSIP_Label_defa4170-0d19-0005-0004-bc88714345d2_ActionId">
    <vt:lpwstr>c8174db6-ed6d-4481-b44e-97d3da79f8a8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10, 3, 0, 1</vt:lpwstr>
  </property>
</Properties>
</file>